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1AA21948-776E-4A7F-A7D9-F31A1D2F74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багатоповерхівки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2" i="31" l="1"/>
  <c r="C131" i="31"/>
  <c r="C129" i="31"/>
  <c r="C128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0" i="31"/>
  <c r="C109" i="31"/>
  <c r="C108" i="31"/>
  <c r="C107" i="31"/>
  <c r="C105" i="31"/>
  <c r="C104" i="31"/>
  <c r="C103" i="31"/>
  <c r="C102" i="31"/>
  <c r="C101" i="31"/>
  <c r="C100" i="31"/>
  <c r="C99" i="31"/>
  <c r="C96" i="31"/>
  <c r="C98" i="31"/>
  <c r="C97" i="31"/>
  <c r="C95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0" i="31"/>
  <c r="C79" i="31"/>
  <c r="C78" i="31"/>
  <c r="C77" i="31"/>
  <c r="C76" i="31"/>
  <c r="C74" i="31"/>
  <c r="C73" i="31"/>
  <c r="C72" i="31"/>
  <c r="C71" i="31"/>
  <c r="C70" i="31"/>
  <c r="C69" i="31"/>
  <c r="C68" i="31"/>
  <c r="C66" i="31"/>
  <c r="C65" i="31"/>
  <c r="C64" i="31"/>
  <c r="C63" i="31"/>
  <c r="C62" i="31"/>
  <c r="C60" i="31"/>
  <c r="C59" i="31"/>
  <c r="C58" i="31"/>
  <c r="C57" i="31"/>
  <c r="C56" i="31"/>
  <c r="C55" i="31"/>
  <c r="C54" i="31"/>
  <c r="C53" i="31"/>
  <c r="C52" i="31"/>
  <c r="C50" i="31"/>
  <c r="C49" i="31"/>
  <c r="C48" i="31"/>
  <c r="C47" i="31"/>
  <c r="C45" i="31"/>
  <c r="C44" i="31"/>
  <c r="C43" i="31"/>
  <c r="C42" i="31"/>
  <c r="C41" i="31"/>
  <c r="C40" i="31"/>
  <c r="C39" i="31"/>
  <c r="C38" i="31"/>
  <c r="C37" i="31"/>
  <c r="C36" i="31"/>
  <c r="C35" i="31"/>
  <c r="C33" i="31"/>
  <c r="C32" i="31"/>
  <c r="C31" i="31"/>
  <c r="C30" i="31"/>
  <c r="C29" i="31"/>
  <c r="C28" i="31"/>
  <c r="C27" i="31"/>
  <c r="C26" i="31"/>
  <c r="C24" i="31"/>
  <c r="C23" i="31"/>
  <c r="C22" i="31"/>
  <c r="C21" i="31"/>
  <c r="C20" i="31"/>
  <c r="C19" i="31"/>
  <c r="C18" i="31"/>
  <c r="C17" i="31"/>
  <c r="C15" i="31"/>
  <c r="C14" i="31"/>
  <c r="C13" i="31"/>
  <c r="C12" i="31"/>
  <c r="C11" i="31"/>
  <c r="C10" i="31"/>
  <c r="C9" i="31"/>
  <c r="C8" i="31"/>
  <c r="C7" i="31"/>
  <c r="B134" i="31" l="1"/>
  <c r="B133" i="31"/>
  <c r="B130" i="31"/>
  <c r="B127" i="31"/>
  <c r="B111" i="31"/>
  <c r="B106" i="31"/>
  <c r="B94" i="31"/>
  <c r="B81" i="31"/>
  <c r="B75" i="31"/>
  <c r="B67" i="31"/>
  <c r="B61" i="31"/>
  <c r="B51" i="31"/>
  <c r="B46" i="31"/>
  <c r="B34" i="31"/>
  <c r="B25" i="31"/>
  <c r="B16" i="31"/>
  <c r="C106" i="31" l="1"/>
  <c r="C34" i="31"/>
  <c r="C111" i="31"/>
  <c r="C130" i="31"/>
  <c r="C133" i="31"/>
  <c r="C16" i="31"/>
  <c r="C75" i="31"/>
  <c r="C127" i="31" l="1"/>
  <c r="C134" i="31"/>
  <c r="C46" i="31"/>
  <c r="C25" i="31"/>
  <c r="C94" i="31"/>
  <c r="C81" i="31"/>
  <c r="C67" i="31"/>
  <c r="C61" i="31"/>
  <c r="C51" i="31"/>
</calcChain>
</file>

<file path=xl/sharedStrings.xml><?xml version="1.0" encoding="utf-8"?>
<sst xmlns="http://schemas.openxmlformats.org/spreadsheetml/2006/main" count="134" uniqueCount="134">
  <si>
    <t>Адреса</t>
  </si>
  <si>
    <t>Київський квартал  ж/буд.№1</t>
  </si>
  <si>
    <t>Київський квартал  ж/буд.№2</t>
  </si>
  <si>
    <t>Київський квартал  ж/буд.№3</t>
  </si>
  <si>
    <t>Київський квартал  ж/буд.№4</t>
  </si>
  <si>
    <t>Київський квартал  ж/буд.№5</t>
  </si>
  <si>
    <t>Київський квартал  ж/буд.№6</t>
  </si>
  <si>
    <t>Київський квартал  ж/буд.№8</t>
  </si>
  <si>
    <t>Київський квартал  ж/буд.№12</t>
  </si>
  <si>
    <t>Київський квартал  ж/буд.№13</t>
  </si>
  <si>
    <t>Вільнюський квартал  ж/буд.№2</t>
  </si>
  <si>
    <t>Вільнюський квартал  ж/буд.№3</t>
  </si>
  <si>
    <t>Вільнюський квартал  ж/буд.№4</t>
  </si>
  <si>
    <t>Вільнюський квартал  ж/буд.№5</t>
  </si>
  <si>
    <t>Вільнюський квартал  ж/буд.№6</t>
  </si>
  <si>
    <t>Вільнюський квартал  ж/буд.№7</t>
  </si>
  <si>
    <t>Вільнюський квартал  ж/буд.№49</t>
  </si>
  <si>
    <t>Вільнюський квартал  ж/буд.№50</t>
  </si>
  <si>
    <t>Таллінський квартал  ж/буд.№3</t>
  </si>
  <si>
    <t>Таллінський квартал  ж/буд.№4</t>
  </si>
  <si>
    <t>Таллінський квартал  ж/буд.№5</t>
  </si>
  <si>
    <t>Таллінський квартал  ж/буд.№6</t>
  </si>
  <si>
    <t>Таллінський квартал  ж/буд.№7</t>
  </si>
  <si>
    <t>Таллінський квартал  ж/буд.№8</t>
  </si>
  <si>
    <t>Таллінський квартал  ж/буд.№9</t>
  </si>
  <si>
    <t>Таллінський квартал  ж/буд.№10</t>
  </si>
  <si>
    <t>Таллінський квартал  ж/буд.№11</t>
  </si>
  <si>
    <t>Єреванський квартал  ж/буд.№1</t>
  </si>
  <si>
    <t>Єреванский квартал  ж/буд.№2</t>
  </si>
  <si>
    <t>Тбіліський квартал  ж/буд.№5</t>
  </si>
  <si>
    <t>Чернігівський квартал  ж/буд.№1</t>
  </si>
  <si>
    <t>Чернігівський квартал  ж/буд.№2</t>
  </si>
  <si>
    <t>Чернігівський квартал  ж/буд.№3</t>
  </si>
  <si>
    <t>Чернігівський квартал  ж/буд.№7</t>
  </si>
  <si>
    <t>Чернігівський квартал  ж/буд.№8</t>
  </si>
  <si>
    <t>Чернігівський квартал  ж/буд.№10</t>
  </si>
  <si>
    <t>Чернігівський квартал  ж/буд.№12</t>
  </si>
  <si>
    <t>Чернігівський квартал  ж/буд.№15</t>
  </si>
  <si>
    <t>Чернігівський квартал  ж/буд.№16</t>
  </si>
  <si>
    <t>Чернігівський квартал  ж/буд.№17</t>
  </si>
  <si>
    <t>Чернігівський квартал  ж/буд.№19</t>
  </si>
  <si>
    <t>Добринінський квартал  ж/буд.№1</t>
  </si>
  <si>
    <t>Добринінський квартал  ж/буд.№3</t>
  </si>
  <si>
    <t>Добринінський квартал  ж/буд.№4</t>
  </si>
  <si>
    <t>Добринінський квартал  ж/буд.№5</t>
  </si>
  <si>
    <t>Добринінський квартал  ж/буд.№6</t>
  </si>
  <si>
    <t>Добринінський квартал  ж/буд.№9</t>
  </si>
  <si>
    <t>Добринінський квартал  ж/буд.№10</t>
  </si>
  <si>
    <t>Добринінський квартал  ж/буд.№11</t>
  </si>
  <si>
    <t>Добринінський квартал  ж/буд.№12</t>
  </si>
  <si>
    <t>Добринінський квартал  ж/буд.№13</t>
  </si>
  <si>
    <t>Добринінський квартал  ж/буд.№14</t>
  </si>
  <si>
    <t>Добринінський квартал  ж/буд.№15</t>
  </si>
  <si>
    <t>Добринінський квартал  ж/буд.№16</t>
  </si>
  <si>
    <t>Добринінський квартал  ж/буд.№18</t>
  </si>
  <si>
    <t>Печерський квартал  ж/буд.№1</t>
  </si>
  <si>
    <t>Печерський квартал  ж/буд.№2</t>
  </si>
  <si>
    <t>Всього</t>
  </si>
  <si>
    <t xml:space="preserve"> Всього Таллінський квартал</t>
  </si>
  <si>
    <t xml:space="preserve"> Всього Вільнюський квартал</t>
  </si>
  <si>
    <t>Всього Київський квартал</t>
  </si>
  <si>
    <t xml:space="preserve">Всього Тбіліський квартал </t>
  </si>
  <si>
    <t>Всього Чернігівський квартал</t>
  </si>
  <si>
    <t xml:space="preserve">Всього Добринінський квартал </t>
  </si>
  <si>
    <t>Всього Печерський квартал</t>
  </si>
  <si>
    <t>Ризький квартал  ж/буд.№2</t>
  </si>
  <si>
    <t>Ризький квартал  ж/буд.№6</t>
  </si>
  <si>
    <t xml:space="preserve">Ризький квартал  ж/буд.№7 </t>
  </si>
  <si>
    <t>Ризький квартал  ж/буд.№10</t>
  </si>
  <si>
    <t>Ризький квартал  ж/буд.№29</t>
  </si>
  <si>
    <t>Всього Ризький квартал</t>
  </si>
  <si>
    <t>Всього Єреванський квартал</t>
  </si>
  <si>
    <t>Бакинський квартал  ж/буд.№4</t>
  </si>
  <si>
    <t>Бакинський квартал  ж/буд.№5</t>
  </si>
  <si>
    <t>Бакинський квартал  ж/буд.№6</t>
  </si>
  <si>
    <t>Бакинський квартал  ж/буд.№35</t>
  </si>
  <si>
    <t xml:space="preserve">Всього Бакинський квартал </t>
  </si>
  <si>
    <t>Провулок Каштановий №6</t>
  </si>
  <si>
    <t>Провулок Каштановий № 8</t>
  </si>
  <si>
    <t>Всього провулок Каштановий</t>
  </si>
  <si>
    <t>Реєстр багатоповерхових будинків міста</t>
  </si>
  <si>
    <t>Проектне теплове навантаження</t>
  </si>
  <si>
    <t>Гкал/год</t>
  </si>
  <si>
    <t xml:space="preserve">Ризький квартал  ж/буд.№4 </t>
  </si>
  <si>
    <t xml:space="preserve">Ризький квартал  ж/буд.№8 </t>
  </si>
  <si>
    <t xml:space="preserve">Ризький квартал  ж/буд.№9 </t>
  </si>
  <si>
    <t xml:space="preserve">Київський квартал  ж/буд.№7 </t>
  </si>
  <si>
    <t xml:space="preserve">Київський квартал  ж/буд.№11 </t>
  </si>
  <si>
    <t xml:space="preserve">Єреванский квартал  ж/буд.№3 </t>
  </si>
  <si>
    <t xml:space="preserve">Єреванский квартал  ж/буд.№4 </t>
  </si>
  <si>
    <t>Бакинський квартал  ж/буд.№1</t>
  </si>
  <si>
    <t xml:space="preserve">Бакинський квартал  ж/буд.№2 </t>
  </si>
  <si>
    <t xml:space="preserve">Бакинський квартал  ж/буд.№3 </t>
  </si>
  <si>
    <t xml:space="preserve">Бакинський квартал  ж/буд.№7 </t>
  </si>
  <si>
    <t xml:space="preserve">Бакинський квартал  ж/буд.№34 </t>
  </si>
  <si>
    <t xml:space="preserve">Тбіліський квартал  ж/буд.№1 </t>
  </si>
  <si>
    <t xml:space="preserve">Тбіліський квартал  ж/буд.№3 </t>
  </si>
  <si>
    <t>Тбіліський квартал  ж/буд.№4</t>
  </si>
  <si>
    <t xml:space="preserve">Тбіліський квартал  ж/буд.№6 </t>
  </si>
  <si>
    <t xml:space="preserve">Добринінський квартал  ж/буд.№7 </t>
  </si>
  <si>
    <r>
      <t>Опалювальна площа квартир, м</t>
    </r>
    <r>
      <rPr>
        <sz val="12"/>
        <color theme="1"/>
        <rFont val="Calibri"/>
        <family val="2"/>
        <charset val="204"/>
      </rPr>
      <t>²*</t>
    </r>
  </si>
  <si>
    <t>Всього Дніпровський квартал</t>
  </si>
  <si>
    <t xml:space="preserve"> Всього Деснянський квартал</t>
  </si>
  <si>
    <t xml:space="preserve">Всього Поліський квартал </t>
  </si>
  <si>
    <t>Всього просп. Незалежності</t>
  </si>
  <si>
    <t>Дніпровський квартал  ж/буд.№2</t>
  </si>
  <si>
    <t>Дніпровський квартал  ж/буд.№4</t>
  </si>
  <si>
    <t>Дніпровський квартал  ж/буд.№6</t>
  </si>
  <si>
    <t>Дніпровський квартал  ж/буд.№7</t>
  </si>
  <si>
    <t xml:space="preserve">Дніпровський квартал  ж/буд.№8 </t>
  </si>
  <si>
    <t>Дніпровський квартал  ж/буд.№9</t>
  </si>
  <si>
    <t>Дніпровський квартал ж/буд.№10</t>
  </si>
  <si>
    <t xml:space="preserve">Деснянський квартал  ж/буд.№1 </t>
  </si>
  <si>
    <t>Деснянський квартал  ж/буд.№2</t>
  </si>
  <si>
    <t>Деснянський квартал  ж/буд.№3</t>
  </si>
  <si>
    <t xml:space="preserve">Деснянський квартал  ж/буд.№4 </t>
  </si>
  <si>
    <t>Деснянський квартал  ж/буд.№5</t>
  </si>
  <si>
    <t xml:space="preserve">Поліський квартал  ж/буд.№1 </t>
  </si>
  <si>
    <t>Поліський квартал  ж/буд.№2</t>
  </si>
  <si>
    <t>Поліський квартал  ж/буд.№4</t>
  </si>
  <si>
    <t>Поліський квартал  ж/буд.№5</t>
  </si>
  <si>
    <t>Поліський квартал  ж/буд.№7</t>
  </si>
  <si>
    <t>Поліський квартал  ж/буд.№9</t>
  </si>
  <si>
    <t>Поліський квартал  ж/буд.№10</t>
  </si>
  <si>
    <t>Поліський квартал  ж/буд.№11</t>
  </si>
  <si>
    <t>Поліський квартал  ж/буд.№13</t>
  </si>
  <si>
    <t>Поліський квартал  ж/буд.№14</t>
  </si>
  <si>
    <t>Поліський квартал  ж/буд.№15</t>
  </si>
  <si>
    <t>Поліський квартал  ж/буд.№16</t>
  </si>
  <si>
    <t>просп. Незалежності ж/буд.№11</t>
  </si>
  <si>
    <t>просп. Незалежності ж/буд.№13</t>
  </si>
  <si>
    <t>просп. Незалежності ж/буд.№15</t>
  </si>
  <si>
    <t>просп. Незалежності ж/буд.№17</t>
  </si>
  <si>
    <t>* дана інформація вказана станом на 01.10.2021р.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</si>
</sst>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7" fillId="0" borderId="8" xfId="0" applyNumberFormat="1" applyFont="1" applyFill="1" applyBorder="1"/>
    <xf numFmtId="1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1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Fill="1" applyBorder="1"/>
    <xf numFmtId="2" fontId="3" fillId="0" borderId="5" xfId="0" applyNumberFormat="1" applyFont="1" applyFill="1" applyBorder="1"/>
    <xf numFmtId="1" fontId="9" fillId="2" borderId="6" xfId="0" applyNumberFormat="1" applyFont="1" applyFill="1" applyBorder="1" applyAlignment="1" applyProtection="1">
      <alignment horizontal="left" vertical="center" wrapText="1"/>
      <protection locked="0"/>
    </xf>
    <xf numFmtId="1" fontId="8" fillId="2" borderId="4" xfId="0" applyNumberFormat="1" applyFont="1" applyFill="1" applyBorder="1" applyAlignment="1" applyProtection="1">
      <alignment horizontal="left" vertical="center" wrapText="1"/>
      <protection locked="0"/>
    </xf>
    <xf numFmtId="1" fontId="8" fillId="2" borderId="15" xfId="0" applyNumberFormat="1" applyFont="1" applyFill="1" applyBorder="1" applyAlignment="1" applyProtection="1">
      <alignment horizontal="left" vertical="center" wrapText="1"/>
      <protection locked="0"/>
    </xf>
    <xf numFmtId="2" fontId="3" fillId="0" borderId="2" xfId="0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1" fillId="2" borderId="7" xfId="0" applyFont="1" applyFill="1" applyBorder="1"/>
    <xf numFmtId="164" fontId="1" fillId="0" borderId="8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1" xfId="0" applyNumberFormat="1" applyFont="1" applyFill="1" applyBorder="1"/>
    <xf numFmtId="165" fontId="3" fillId="0" borderId="1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 applyProtection="1">
      <alignment horizontal="left" vertical="center" wrapText="1"/>
      <protection locked="0"/>
    </xf>
    <xf numFmtId="2" fontId="7" fillId="0" borderId="3" xfId="0" applyNumberFormat="1" applyFont="1" applyFill="1" applyBorder="1"/>
    <xf numFmtId="2" fontId="7" fillId="0" borderId="3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/>
    </xf>
    <xf numFmtId="2" fontId="9" fillId="0" borderId="5" xfId="0" applyNumberFormat="1" applyFont="1" applyFill="1" applyBorder="1"/>
    <xf numFmtId="2" fontId="7" fillId="0" borderId="3" xfId="0" applyNumberFormat="1" applyFont="1" applyFill="1" applyBorder="1" applyAlignment="1">
      <alignment horizontal="center"/>
    </xf>
    <xf numFmtId="2" fontId="3" fillId="0" borderId="17" xfId="0" applyNumberFormat="1" applyFont="1" applyFill="1" applyBorder="1"/>
    <xf numFmtId="165" fontId="3" fillId="0" borderId="17" xfId="0" applyNumberFormat="1" applyFont="1" applyFill="1" applyBorder="1" applyAlignment="1">
      <alignment horizontal="center"/>
    </xf>
    <xf numFmtId="2" fontId="3" fillId="0" borderId="8" xfId="0" applyNumberFormat="1" applyFont="1" applyFill="1" applyBorder="1"/>
    <xf numFmtId="165" fontId="3" fillId="0" borderId="8" xfId="0" applyNumberFormat="1" applyFont="1" applyFill="1" applyBorder="1" applyAlignment="1">
      <alignment horizontal="center"/>
    </xf>
    <xf numFmtId="2" fontId="7" fillId="0" borderId="12" xfId="0" applyNumberFormat="1" applyFont="1" applyFill="1" applyBorder="1"/>
    <xf numFmtId="2" fontId="7" fillId="0" borderId="12" xfId="0" applyNumberFormat="1" applyFont="1" applyFill="1" applyBorder="1" applyAlignment="1">
      <alignment horizontal="center"/>
    </xf>
    <xf numFmtId="165" fontId="9" fillId="0" borderId="5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165" fontId="7" fillId="0" borderId="9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Fill="1" applyBorder="1"/>
    <xf numFmtId="1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7" fillId="0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7"/>
  <sheetViews>
    <sheetView tabSelected="1" zoomScaleNormal="100" workbookViewId="0">
      <pane xSplit="1" topLeftCell="B1" activePane="topRight" state="frozen"/>
      <selection pane="topRight" activeCell="D5" sqref="D5"/>
    </sheetView>
  </sheetViews>
  <sheetFormatPr defaultRowHeight="15.75" x14ac:dyDescent="0.25"/>
  <cols>
    <col min="1" max="1" width="45.5703125" style="1" customWidth="1"/>
    <col min="2" max="2" width="22" style="1" customWidth="1"/>
    <col min="3" max="3" width="21.140625" style="1" customWidth="1"/>
    <col min="4" max="16384" width="9.140625" style="1"/>
  </cols>
  <sheetData>
    <row r="2" spans="1:3" ht="18.75" x14ac:dyDescent="0.3">
      <c r="A2" s="46" t="s">
        <v>80</v>
      </c>
      <c r="B2" s="46"/>
      <c r="C2" s="46"/>
    </row>
    <row r="3" spans="1:3" ht="18.75" x14ac:dyDescent="0.3">
      <c r="A3" s="47"/>
      <c r="B3" s="47"/>
      <c r="C3" s="47"/>
    </row>
    <row r="4" spans="1:3" s="2" customFormat="1" ht="36" customHeight="1" x14ac:dyDescent="0.25">
      <c r="A4" s="48" t="s">
        <v>0</v>
      </c>
      <c r="B4" s="50" t="s">
        <v>100</v>
      </c>
      <c r="C4" s="39" t="s">
        <v>81</v>
      </c>
    </row>
    <row r="5" spans="1:3" s="2" customFormat="1" ht="15" customHeight="1" x14ac:dyDescent="0.25">
      <c r="A5" s="49"/>
      <c r="B5" s="51"/>
      <c r="C5" s="4" t="s">
        <v>82</v>
      </c>
    </row>
    <row r="6" spans="1:3" s="2" customFormat="1" ht="15.75" customHeight="1" thickBot="1" x14ac:dyDescent="0.3">
      <c r="A6" s="18"/>
      <c r="B6" s="19"/>
      <c r="C6" s="5"/>
    </row>
    <row r="7" spans="1:3" s="2" customFormat="1" ht="15.75" customHeight="1" x14ac:dyDescent="0.25">
      <c r="A7" s="14" t="s">
        <v>18</v>
      </c>
      <c r="B7" s="12">
        <v>4420</v>
      </c>
      <c r="C7" s="9">
        <f>ROUND(0.26321,3)</f>
        <v>0.26300000000000001</v>
      </c>
    </row>
    <row r="8" spans="1:3" s="2" customFormat="1" ht="15.75" customHeight="1" x14ac:dyDescent="0.25">
      <c r="A8" s="10" t="s">
        <v>19</v>
      </c>
      <c r="B8" s="11">
        <v>1768.2</v>
      </c>
      <c r="C8" s="8">
        <f>ROUND(0.10928,3)</f>
        <v>0.109</v>
      </c>
    </row>
    <row r="9" spans="1:3" s="2" customFormat="1" ht="15.75" customHeight="1" x14ac:dyDescent="0.25">
      <c r="A9" s="10" t="s">
        <v>20</v>
      </c>
      <c r="B9" s="11">
        <v>4445.8999999999996</v>
      </c>
      <c r="C9" s="8">
        <f>ROUND(0.26321,3)</f>
        <v>0.26300000000000001</v>
      </c>
    </row>
    <row r="10" spans="1:3" s="2" customFormat="1" ht="15.75" customHeight="1" x14ac:dyDescent="0.25">
      <c r="A10" s="10" t="s">
        <v>21</v>
      </c>
      <c r="B10" s="11">
        <v>1778.1</v>
      </c>
      <c r="C10" s="8">
        <f>ROUND(0.10928,3)</f>
        <v>0.109</v>
      </c>
    </row>
    <row r="11" spans="1:3" s="2" customFormat="1" ht="15.75" customHeight="1" x14ac:dyDescent="0.25">
      <c r="A11" s="10" t="s">
        <v>22</v>
      </c>
      <c r="B11" s="11">
        <v>3245.5</v>
      </c>
      <c r="C11" s="8">
        <f>ROUND(0.191602,3)</f>
        <v>0.192</v>
      </c>
    </row>
    <row r="12" spans="1:3" s="2" customFormat="1" ht="15.75" customHeight="1" x14ac:dyDescent="0.25">
      <c r="A12" s="10" t="s">
        <v>23</v>
      </c>
      <c r="B12" s="11">
        <v>3173.6</v>
      </c>
      <c r="C12" s="8">
        <f>ROUND(0.191602,3)</f>
        <v>0.192</v>
      </c>
    </row>
    <row r="13" spans="1:3" s="2" customFormat="1" ht="15.75" customHeight="1" x14ac:dyDescent="0.25">
      <c r="A13" s="10" t="s">
        <v>24</v>
      </c>
      <c r="B13" s="11">
        <v>713.1</v>
      </c>
      <c r="C13" s="8">
        <f>ROUND(0.07126,3)</f>
        <v>7.0999999999999994E-2</v>
      </c>
    </row>
    <row r="14" spans="1:3" s="2" customFormat="1" ht="15.75" customHeight="1" x14ac:dyDescent="0.25">
      <c r="A14" s="10" t="s">
        <v>25</v>
      </c>
      <c r="B14" s="11">
        <v>705.2</v>
      </c>
      <c r="C14" s="8">
        <f>ROUND(0.07126,3)</f>
        <v>7.0999999999999994E-2</v>
      </c>
    </row>
    <row r="15" spans="1:3" s="2" customFormat="1" ht="15.75" customHeight="1" thickBot="1" x14ac:dyDescent="0.3">
      <c r="A15" s="22" t="s">
        <v>26</v>
      </c>
      <c r="B15" s="23">
        <v>711.8</v>
      </c>
      <c r="C15" s="24">
        <f>ROUND(0.07126,3)</f>
        <v>7.0999999999999994E-2</v>
      </c>
    </row>
    <row r="16" spans="1:3" s="2" customFormat="1" ht="15.75" customHeight="1" thickBot="1" x14ac:dyDescent="0.3">
      <c r="A16" s="25" t="s">
        <v>58</v>
      </c>
      <c r="B16" s="26">
        <f>SUM(B7:B15)</f>
        <v>20961.399999999998</v>
      </c>
      <c r="C16" s="27">
        <f>SUM(C7:C15)</f>
        <v>1.3409999999999997</v>
      </c>
    </row>
    <row r="17" spans="1:3" s="2" customFormat="1" ht="15.75" customHeight="1" x14ac:dyDescent="0.25">
      <c r="A17" s="14" t="s">
        <v>65</v>
      </c>
      <c r="B17" s="12">
        <v>3660.5</v>
      </c>
      <c r="C17" s="9">
        <f>ROUND(0.373948,3)</f>
        <v>0.374</v>
      </c>
    </row>
    <row r="18" spans="1:3" s="2" customFormat="1" ht="15.75" customHeight="1" x14ac:dyDescent="0.25">
      <c r="A18" s="10" t="s">
        <v>83</v>
      </c>
      <c r="B18" s="11">
        <v>2390.8000000000002</v>
      </c>
      <c r="C18" s="8">
        <f>ROUND(0.244292,3)</f>
        <v>0.24399999999999999</v>
      </c>
    </row>
    <row r="19" spans="1:3" s="2" customFormat="1" ht="15.75" customHeight="1" x14ac:dyDescent="0.25">
      <c r="A19" s="10" t="s">
        <v>66</v>
      </c>
      <c r="B19" s="11">
        <v>3842</v>
      </c>
      <c r="C19" s="8">
        <f>ROUND(0.39258,3)</f>
        <v>0.39300000000000002</v>
      </c>
    </row>
    <row r="20" spans="1:3" s="2" customFormat="1" ht="15.75" customHeight="1" x14ac:dyDescent="0.25">
      <c r="A20" s="10" t="s">
        <v>67</v>
      </c>
      <c r="B20" s="11">
        <v>664.6</v>
      </c>
      <c r="C20" s="8">
        <f>ROUND(0.048506,3)</f>
        <v>4.9000000000000002E-2</v>
      </c>
    </row>
    <row r="21" spans="1:3" s="2" customFormat="1" ht="15.75" customHeight="1" x14ac:dyDescent="0.25">
      <c r="A21" s="10" t="s">
        <v>84</v>
      </c>
      <c r="B21" s="11">
        <v>2538.6999999999998</v>
      </c>
      <c r="C21" s="8">
        <f>ROUND(0.2592,3)</f>
        <v>0.25900000000000001</v>
      </c>
    </row>
    <row r="22" spans="1:3" s="2" customFormat="1" ht="15.75" customHeight="1" x14ac:dyDescent="0.25">
      <c r="A22" s="10" t="s">
        <v>85</v>
      </c>
      <c r="B22" s="11">
        <v>2528.4</v>
      </c>
      <c r="C22" s="8">
        <f>ROUND(0.258352,3)</f>
        <v>0.25800000000000001</v>
      </c>
    </row>
    <row r="23" spans="1:3" s="2" customFormat="1" ht="15.75" customHeight="1" x14ac:dyDescent="0.25">
      <c r="A23" s="10" t="s">
        <v>68</v>
      </c>
      <c r="B23" s="11">
        <v>676.9</v>
      </c>
      <c r="C23" s="8">
        <f>ROUND(0.048506,3)</f>
        <v>4.9000000000000002E-2</v>
      </c>
    </row>
    <row r="24" spans="1:3" s="2" customFormat="1" ht="15.75" customHeight="1" thickBot="1" x14ac:dyDescent="0.3">
      <c r="A24" s="22" t="s">
        <v>69</v>
      </c>
      <c r="B24" s="23">
        <v>3768.9</v>
      </c>
      <c r="C24" s="24">
        <f>ROUND(0.384738,3)</f>
        <v>0.38500000000000001</v>
      </c>
    </row>
    <row r="25" spans="1:3" s="2" customFormat="1" ht="15.75" customHeight="1" thickBot="1" x14ac:dyDescent="0.3">
      <c r="A25" s="25" t="s">
        <v>70</v>
      </c>
      <c r="B25" s="26">
        <f>SUM(B17:B24)</f>
        <v>20070.8</v>
      </c>
      <c r="C25" s="28">
        <f>SUM(C17:C24)</f>
        <v>2.0110000000000001</v>
      </c>
    </row>
    <row r="26" spans="1:3" s="2" customFormat="1" ht="15.75" customHeight="1" x14ac:dyDescent="0.25">
      <c r="A26" s="14" t="s">
        <v>10</v>
      </c>
      <c r="B26" s="12">
        <v>2654</v>
      </c>
      <c r="C26" s="9">
        <f t="shared" ref="C26:C33" si="0">ROUND(0.1833,3)</f>
        <v>0.183</v>
      </c>
    </row>
    <row r="27" spans="1:3" s="2" customFormat="1" ht="15.75" customHeight="1" x14ac:dyDescent="0.25">
      <c r="A27" s="10" t="s">
        <v>11</v>
      </c>
      <c r="B27" s="11">
        <v>2659.4</v>
      </c>
      <c r="C27" s="8">
        <f t="shared" si="0"/>
        <v>0.183</v>
      </c>
    </row>
    <row r="28" spans="1:3" s="2" customFormat="1" ht="15.75" customHeight="1" x14ac:dyDescent="0.25">
      <c r="A28" s="10" t="s">
        <v>12</v>
      </c>
      <c r="B28" s="11">
        <v>2666.4</v>
      </c>
      <c r="C28" s="8">
        <f t="shared" si="0"/>
        <v>0.183</v>
      </c>
    </row>
    <row r="29" spans="1:3" s="2" customFormat="1" ht="15.75" customHeight="1" x14ac:dyDescent="0.25">
      <c r="A29" s="10" t="s">
        <v>13</v>
      </c>
      <c r="B29" s="11">
        <v>2633.9</v>
      </c>
      <c r="C29" s="8">
        <f t="shared" si="0"/>
        <v>0.183</v>
      </c>
    </row>
    <row r="30" spans="1:3" s="2" customFormat="1" ht="15.75" customHeight="1" x14ac:dyDescent="0.25">
      <c r="A30" s="10" t="s">
        <v>14</v>
      </c>
      <c r="B30" s="11">
        <v>2647.2</v>
      </c>
      <c r="C30" s="8">
        <f t="shared" si="0"/>
        <v>0.183</v>
      </c>
    </row>
    <row r="31" spans="1:3" s="2" customFormat="1" ht="15.75" customHeight="1" x14ac:dyDescent="0.25">
      <c r="A31" s="10" t="s">
        <v>15</v>
      </c>
      <c r="B31" s="11">
        <v>2675.3</v>
      </c>
      <c r="C31" s="8">
        <f t="shared" si="0"/>
        <v>0.183</v>
      </c>
    </row>
    <row r="32" spans="1:3" s="2" customFormat="1" ht="15.75" customHeight="1" x14ac:dyDescent="0.25">
      <c r="A32" s="10" t="s">
        <v>16</v>
      </c>
      <c r="B32" s="11">
        <v>2647.2</v>
      </c>
      <c r="C32" s="8">
        <f t="shared" si="0"/>
        <v>0.183</v>
      </c>
    </row>
    <row r="33" spans="1:3" s="2" customFormat="1" ht="15.75" customHeight="1" thickBot="1" x14ac:dyDescent="0.3">
      <c r="A33" s="22" t="s">
        <v>17</v>
      </c>
      <c r="B33" s="23">
        <v>2642.9</v>
      </c>
      <c r="C33" s="24">
        <f t="shared" si="0"/>
        <v>0.183</v>
      </c>
    </row>
    <row r="34" spans="1:3" s="2" customFormat="1" ht="15.75" customHeight="1" thickBot="1" x14ac:dyDescent="0.3">
      <c r="A34" s="25" t="s">
        <v>59</v>
      </c>
      <c r="B34" s="26">
        <f>SUM(B26:B33)</f>
        <v>21226.3</v>
      </c>
      <c r="C34" s="28">
        <f>SUM(C26:C33)</f>
        <v>1.4640000000000002</v>
      </c>
    </row>
    <row r="35" spans="1:3" s="2" customFormat="1" ht="15.75" customHeight="1" x14ac:dyDescent="0.25">
      <c r="A35" s="14" t="s">
        <v>1</v>
      </c>
      <c r="B35" s="12">
        <v>6601.1</v>
      </c>
      <c r="C35" s="9">
        <f>ROUND(0.41251,3)</f>
        <v>0.41299999999999998</v>
      </c>
    </row>
    <row r="36" spans="1:3" s="2" customFormat="1" ht="15.75" customHeight="1" x14ac:dyDescent="0.25">
      <c r="A36" s="10" t="s">
        <v>2</v>
      </c>
      <c r="B36" s="11">
        <v>5538</v>
      </c>
      <c r="C36" s="8">
        <f>ROUND(0.36218,3)</f>
        <v>0.36199999999999999</v>
      </c>
    </row>
    <row r="37" spans="1:3" s="2" customFormat="1" ht="15.75" customHeight="1" x14ac:dyDescent="0.25">
      <c r="A37" s="10" t="s">
        <v>3</v>
      </c>
      <c r="B37" s="11">
        <v>4146.5</v>
      </c>
      <c r="C37" s="8">
        <f>ROUND(0.26683,3)</f>
        <v>0.26700000000000002</v>
      </c>
    </row>
    <row r="38" spans="1:3" s="2" customFormat="1" ht="15.75" customHeight="1" x14ac:dyDescent="0.25">
      <c r="A38" s="10" t="s">
        <v>4</v>
      </c>
      <c r="B38" s="11">
        <v>4237.6000000000004</v>
      </c>
      <c r="C38" s="8">
        <f>ROUND(0.249795,3)</f>
        <v>0.25</v>
      </c>
    </row>
    <row r="39" spans="1:3" s="2" customFormat="1" ht="15.75" customHeight="1" x14ac:dyDescent="0.25">
      <c r="A39" s="10" t="s">
        <v>5</v>
      </c>
      <c r="B39" s="11">
        <v>4257</v>
      </c>
      <c r="C39" s="8">
        <f>ROUND(0.249795,3)</f>
        <v>0.25</v>
      </c>
    </row>
    <row r="40" spans="1:3" s="2" customFormat="1" ht="15.75" customHeight="1" x14ac:dyDescent="0.25">
      <c r="A40" s="10" t="s">
        <v>6</v>
      </c>
      <c r="B40" s="11">
        <v>4247.1000000000004</v>
      </c>
      <c r="C40" s="8">
        <f>ROUND(0.249795,3)</f>
        <v>0.25</v>
      </c>
    </row>
    <row r="41" spans="1:3" s="2" customFormat="1" ht="15.75" customHeight="1" x14ac:dyDescent="0.25">
      <c r="A41" s="10" t="s">
        <v>86</v>
      </c>
      <c r="B41" s="11">
        <v>8248</v>
      </c>
      <c r="C41" s="8">
        <f>ROUND(0.5229,3)</f>
        <v>0.52300000000000002</v>
      </c>
    </row>
    <row r="42" spans="1:3" s="2" customFormat="1" ht="15.75" customHeight="1" x14ac:dyDescent="0.25">
      <c r="A42" s="10" t="s">
        <v>7</v>
      </c>
      <c r="B42" s="11">
        <v>3450.5</v>
      </c>
      <c r="C42" s="8">
        <f>ROUND(0.24375,3)</f>
        <v>0.24399999999999999</v>
      </c>
    </row>
    <row r="43" spans="1:3" s="2" customFormat="1" ht="15.75" customHeight="1" x14ac:dyDescent="0.25">
      <c r="A43" s="13" t="s">
        <v>87</v>
      </c>
      <c r="B43" s="11">
        <v>4464.1000000000004</v>
      </c>
      <c r="C43" s="8">
        <f>ROUND(0.30672,3)</f>
        <v>0.307</v>
      </c>
    </row>
    <row r="44" spans="1:3" s="2" customFormat="1" ht="15.75" customHeight="1" x14ac:dyDescent="0.25">
      <c r="A44" s="10" t="s">
        <v>8</v>
      </c>
      <c r="B44" s="11">
        <v>3282.9</v>
      </c>
      <c r="C44" s="8">
        <f>ROUND(0.24107,3)</f>
        <v>0.24099999999999999</v>
      </c>
    </row>
    <row r="45" spans="1:3" s="2" customFormat="1" ht="15.75" customHeight="1" thickBot="1" x14ac:dyDescent="0.3">
      <c r="A45" s="22" t="s">
        <v>9</v>
      </c>
      <c r="B45" s="23">
        <v>2088</v>
      </c>
      <c r="C45" s="24">
        <f>ROUND(0.18529,3)</f>
        <v>0.185</v>
      </c>
    </row>
    <row r="46" spans="1:3" s="2" customFormat="1" ht="15.75" customHeight="1" thickBot="1" x14ac:dyDescent="0.3">
      <c r="A46" s="25" t="s">
        <v>60</v>
      </c>
      <c r="B46" s="26">
        <f>SUM(B35:B45)</f>
        <v>50560.800000000003</v>
      </c>
      <c r="C46" s="28">
        <f>SUM(C35:C45)</f>
        <v>3.2920000000000003</v>
      </c>
    </row>
    <row r="47" spans="1:3" s="2" customFormat="1" ht="15.75" customHeight="1" x14ac:dyDescent="0.25">
      <c r="A47" s="14" t="s">
        <v>27</v>
      </c>
      <c r="B47" s="12">
        <v>2406.1999999999998</v>
      </c>
      <c r="C47" s="9">
        <f>ROUND(0.2257,3)</f>
        <v>0.22600000000000001</v>
      </c>
    </row>
    <row r="48" spans="1:3" s="2" customFormat="1" ht="15.75" customHeight="1" x14ac:dyDescent="0.25">
      <c r="A48" s="10" t="s">
        <v>28</v>
      </c>
      <c r="B48" s="11">
        <v>2822.3</v>
      </c>
      <c r="C48" s="8">
        <f>ROUND(0.26478,3)</f>
        <v>0.26500000000000001</v>
      </c>
    </row>
    <row r="49" spans="1:3" s="2" customFormat="1" ht="15.75" customHeight="1" x14ac:dyDescent="0.25">
      <c r="A49" s="10" t="s">
        <v>88</v>
      </c>
      <c r="B49" s="11">
        <v>5711.1</v>
      </c>
      <c r="C49" s="8">
        <f>ROUND(0.269425,3)</f>
        <v>0.26900000000000002</v>
      </c>
    </row>
    <row r="50" spans="1:3" s="2" customFormat="1" ht="15.75" customHeight="1" x14ac:dyDescent="0.25">
      <c r="A50" s="10" t="s">
        <v>89</v>
      </c>
      <c r="B50" s="11">
        <v>7165.9</v>
      </c>
      <c r="C50" s="8">
        <f>ROUND(0.65814,3)</f>
        <v>0.65800000000000003</v>
      </c>
    </row>
    <row r="51" spans="1:3" s="2" customFormat="1" ht="15.75" customHeight="1" thickBot="1" x14ac:dyDescent="0.3">
      <c r="A51" s="25" t="s">
        <v>71</v>
      </c>
      <c r="B51" s="26">
        <f>SUM(B47:B50)</f>
        <v>18105.5</v>
      </c>
      <c r="C51" s="28">
        <f>SUM(C47:C50)</f>
        <v>1.4180000000000001</v>
      </c>
    </row>
    <row r="52" spans="1:3" s="2" customFormat="1" ht="15.75" customHeight="1" x14ac:dyDescent="0.25">
      <c r="A52" s="14" t="s">
        <v>90</v>
      </c>
      <c r="B52" s="12">
        <v>3600.8</v>
      </c>
      <c r="C52" s="9">
        <f>ROUND(0.25569,3)</f>
        <v>0.25600000000000001</v>
      </c>
    </row>
    <row r="53" spans="1:3" s="2" customFormat="1" ht="15.75" customHeight="1" x14ac:dyDescent="0.25">
      <c r="A53" s="10" t="s">
        <v>91</v>
      </c>
      <c r="B53" s="11">
        <v>2673.1</v>
      </c>
      <c r="C53" s="8">
        <f>ROUND(0.19414,3)</f>
        <v>0.19400000000000001</v>
      </c>
    </row>
    <row r="54" spans="1:3" s="2" customFormat="1" ht="15.75" customHeight="1" x14ac:dyDescent="0.25">
      <c r="A54" s="10" t="s">
        <v>92</v>
      </c>
      <c r="B54" s="11">
        <v>2649.1</v>
      </c>
      <c r="C54" s="8">
        <f>ROUND(0.19414,3)</f>
        <v>0.19400000000000001</v>
      </c>
    </row>
    <row r="55" spans="1:3" s="2" customFormat="1" ht="15.75" customHeight="1" x14ac:dyDescent="0.25">
      <c r="A55" s="10" t="s">
        <v>72</v>
      </c>
      <c r="B55" s="11">
        <v>1700.8</v>
      </c>
      <c r="C55" s="8">
        <f>ROUND(0.17,3)</f>
        <v>0.17</v>
      </c>
    </row>
    <row r="56" spans="1:3" s="2" customFormat="1" ht="15.75" customHeight="1" x14ac:dyDescent="0.25">
      <c r="A56" s="10" t="s">
        <v>73</v>
      </c>
      <c r="B56" s="11">
        <v>1178.3</v>
      </c>
      <c r="C56" s="8">
        <f>ROUND(0.08523,3)</f>
        <v>8.5000000000000006E-2</v>
      </c>
    </row>
    <row r="57" spans="1:3" s="2" customFormat="1" ht="15.75" customHeight="1" x14ac:dyDescent="0.25">
      <c r="A57" s="10" t="s">
        <v>74</v>
      </c>
      <c r="B57" s="11">
        <v>1442.9</v>
      </c>
      <c r="C57" s="8">
        <f>ROUND(0.09898,3)</f>
        <v>9.9000000000000005E-2</v>
      </c>
    </row>
    <row r="58" spans="1:3" s="2" customFormat="1" ht="15.75" customHeight="1" x14ac:dyDescent="0.25">
      <c r="A58" s="10" t="s">
        <v>93</v>
      </c>
      <c r="B58" s="11">
        <v>3560.2</v>
      </c>
      <c r="C58" s="8">
        <f>ROUND(0.25569,3)</f>
        <v>0.25600000000000001</v>
      </c>
    </row>
    <row r="59" spans="1:3" s="2" customFormat="1" ht="15.75" customHeight="1" x14ac:dyDescent="0.25">
      <c r="A59" s="13" t="s">
        <v>94</v>
      </c>
      <c r="B59" s="11">
        <v>1434.6</v>
      </c>
      <c r="C59" s="8">
        <f>ROUND(0.102276,3)</f>
        <v>0.10199999999999999</v>
      </c>
    </row>
    <row r="60" spans="1:3" s="2" customFormat="1" ht="15.75" customHeight="1" thickBot="1" x14ac:dyDescent="0.3">
      <c r="A60" s="22" t="s">
        <v>75</v>
      </c>
      <c r="B60" s="23">
        <v>765.1</v>
      </c>
      <c r="C60" s="24">
        <f>ROUND(0.078974,3)</f>
        <v>7.9000000000000001E-2</v>
      </c>
    </row>
    <row r="61" spans="1:3" s="2" customFormat="1" ht="15.75" customHeight="1" thickBot="1" x14ac:dyDescent="0.3">
      <c r="A61" s="25" t="s">
        <v>76</v>
      </c>
      <c r="B61" s="26">
        <f>SUM(B52:B60)</f>
        <v>19004.899999999994</v>
      </c>
      <c r="C61" s="28">
        <f>SUM(C52:C60)</f>
        <v>1.4350000000000001</v>
      </c>
    </row>
    <row r="62" spans="1:3" s="2" customFormat="1" ht="15.75" customHeight="1" x14ac:dyDescent="0.25">
      <c r="A62" s="14" t="s">
        <v>95</v>
      </c>
      <c r="B62" s="12">
        <v>7450.2</v>
      </c>
      <c r="C62" s="9">
        <f>ROUND(0.425416,3)</f>
        <v>0.42499999999999999</v>
      </c>
    </row>
    <row r="63" spans="1:3" s="2" customFormat="1" ht="15.75" customHeight="1" x14ac:dyDescent="0.25">
      <c r="A63" s="10" t="s">
        <v>96</v>
      </c>
      <c r="B63" s="11">
        <v>5219.5</v>
      </c>
      <c r="C63" s="8">
        <f>ROUND(0.319872,3)</f>
        <v>0.32</v>
      </c>
    </row>
    <row r="64" spans="1:3" s="2" customFormat="1" ht="15.75" customHeight="1" x14ac:dyDescent="0.25">
      <c r="A64" s="13" t="s">
        <v>97</v>
      </c>
      <c r="B64" s="11">
        <v>3442.6</v>
      </c>
      <c r="C64" s="8">
        <f>ROUND(0.210743,3)</f>
        <v>0.21099999999999999</v>
      </c>
    </row>
    <row r="65" spans="1:6" s="2" customFormat="1" ht="15.75" customHeight="1" x14ac:dyDescent="0.25">
      <c r="A65" s="10" t="s">
        <v>29</v>
      </c>
      <c r="B65" s="11">
        <v>2035.9</v>
      </c>
      <c r="C65" s="8">
        <f>ROUND(0.123614,3)</f>
        <v>0.124</v>
      </c>
    </row>
    <row r="66" spans="1:6" s="2" customFormat="1" ht="15.75" customHeight="1" thickBot="1" x14ac:dyDescent="0.3">
      <c r="A66" s="15" t="s">
        <v>98</v>
      </c>
      <c r="B66" s="16">
        <v>6120.3</v>
      </c>
      <c r="C66" s="17">
        <f>ROUND(0.371625,3)</f>
        <v>0.372</v>
      </c>
    </row>
    <row r="67" spans="1:6" s="2" customFormat="1" ht="15.75" customHeight="1" thickBot="1" x14ac:dyDescent="0.3">
      <c r="A67" s="7" t="s">
        <v>61</v>
      </c>
      <c r="B67" s="6">
        <f>SUM(B62:B66)</f>
        <v>24268.5</v>
      </c>
      <c r="C67" s="45">
        <f>SUM(C62:C66)</f>
        <v>1.452</v>
      </c>
      <c r="D67" s="42"/>
      <c r="E67" s="42"/>
      <c r="F67" s="42"/>
    </row>
    <row r="68" spans="1:6" s="2" customFormat="1" ht="15.75" customHeight="1" x14ac:dyDescent="0.25">
      <c r="A68" s="14" t="s">
        <v>105</v>
      </c>
      <c r="B68" s="12">
        <v>2148.6999999999998</v>
      </c>
      <c r="C68" s="9">
        <f>ROUND(0.146652,3)</f>
        <v>0.14699999999999999</v>
      </c>
      <c r="D68" s="42"/>
      <c r="E68" s="43"/>
      <c r="F68" s="42"/>
    </row>
    <row r="69" spans="1:6" s="2" customFormat="1" ht="15.75" customHeight="1" x14ac:dyDescent="0.25">
      <c r="A69" s="10" t="s">
        <v>106</v>
      </c>
      <c r="B69" s="11">
        <v>4269.8</v>
      </c>
      <c r="C69" s="8">
        <f>ROUND(0.2857245,3)</f>
        <v>0.28599999999999998</v>
      </c>
      <c r="D69" s="42"/>
      <c r="E69" s="43"/>
      <c r="F69" s="42"/>
    </row>
    <row r="70" spans="1:6" s="2" customFormat="1" ht="15.75" customHeight="1" x14ac:dyDescent="0.25">
      <c r="A70" s="10" t="s">
        <v>107</v>
      </c>
      <c r="B70" s="11">
        <v>5569.9</v>
      </c>
      <c r="C70" s="8">
        <f>ROUND(0.42471,3)</f>
        <v>0.42499999999999999</v>
      </c>
      <c r="D70" s="42"/>
      <c r="E70" s="43"/>
      <c r="F70" s="42"/>
    </row>
    <row r="71" spans="1:6" s="2" customFormat="1" ht="15.75" customHeight="1" x14ac:dyDescent="0.25">
      <c r="A71" s="13" t="s">
        <v>108</v>
      </c>
      <c r="B71" s="11">
        <v>5505.6</v>
      </c>
      <c r="C71" s="8">
        <f>ROUND(0.42471,3)</f>
        <v>0.42499999999999999</v>
      </c>
      <c r="D71" s="42"/>
      <c r="E71" s="44"/>
      <c r="F71" s="42"/>
    </row>
    <row r="72" spans="1:6" s="2" customFormat="1" ht="15.75" customHeight="1" x14ac:dyDescent="0.25">
      <c r="A72" s="10" t="s">
        <v>109</v>
      </c>
      <c r="B72" s="11">
        <v>6448</v>
      </c>
      <c r="C72" s="8">
        <f>ROUND(0.47132,3)</f>
        <v>0.47099999999999997</v>
      </c>
      <c r="D72" s="42"/>
      <c r="E72" s="43"/>
      <c r="F72" s="42"/>
    </row>
    <row r="73" spans="1:6" s="2" customFormat="1" ht="15.75" customHeight="1" x14ac:dyDescent="0.25">
      <c r="A73" s="10" t="s">
        <v>110</v>
      </c>
      <c r="B73" s="11">
        <v>7356.5</v>
      </c>
      <c r="C73" s="8">
        <f>ROUND(0.64216,3)</f>
        <v>0.64200000000000002</v>
      </c>
      <c r="D73" s="42"/>
      <c r="E73" s="43"/>
      <c r="F73" s="42"/>
    </row>
    <row r="74" spans="1:6" s="2" customFormat="1" ht="15.75" customHeight="1" thickBot="1" x14ac:dyDescent="0.3">
      <c r="A74" s="22" t="s">
        <v>111</v>
      </c>
      <c r="B74" s="23">
        <v>5374.5</v>
      </c>
      <c r="C74" s="24">
        <f>ROUND(0.4342,3)</f>
        <v>0.434</v>
      </c>
      <c r="D74" s="42"/>
      <c r="E74" s="43"/>
      <c r="F74" s="42"/>
    </row>
    <row r="75" spans="1:6" s="2" customFormat="1" ht="15.75" customHeight="1" thickBot="1" x14ac:dyDescent="0.3">
      <c r="A75" s="25" t="s">
        <v>101</v>
      </c>
      <c r="B75" s="26">
        <f>SUM(B68:B74)</f>
        <v>36673</v>
      </c>
      <c r="C75" s="28">
        <f>SUM(C68:C74)</f>
        <v>2.83</v>
      </c>
      <c r="D75" s="42"/>
      <c r="E75" s="42"/>
      <c r="F75" s="42"/>
    </row>
    <row r="76" spans="1:6" s="2" customFormat="1" ht="15.75" customHeight="1" x14ac:dyDescent="0.25">
      <c r="A76" s="38" t="s">
        <v>112</v>
      </c>
      <c r="B76" s="29">
        <v>5437.3</v>
      </c>
      <c r="C76" s="37">
        <f>ROUND(0.175768,3)</f>
        <v>0.17599999999999999</v>
      </c>
      <c r="D76" s="42"/>
      <c r="E76" s="42"/>
      <c r="F76" s="42"/>
    </row>
    <row r="77" spans="1:6" s="2" customFormat="1" ht="15.75" customHeight="1" x14ac:dyDescent="0.25">
      <c r="A77" s="10" t="s">
        <v>113</v>
      </c>
      <c r="B77" s="11">
        <v>4578.3999999999996</v>
      </c>
      <c r="C77" s="8">
        <f>ROUND(0.291024,3)</f>
        <v>0.29099999999999998</v>
      </c>
    </row>
    <row r="78" spans="1:6" s="2" customFormat="1" ht="15.75" customHeight="1" x14ac:dyDescent="0.25">
      <c r="A78" s="10" t="s">
        <v>114</v>
      </c>
      <c r="B78" s="11">
        <v>2307.5</v>
      </c>
      <c r="C78" s="8">
        <f>ROUND(0.145512,3)</f>
        <v>0.14599999999999999</v>
      </c>
    </row>
    <row r="79" spans="1:6" s="2" customFormat="1" ht="15.75" customHeight="1" x14ac:dyDescent="0.25">
      <c r="A79" s="10" t="s">
        <v>115</v>
      </c>
      <c r="B79" s="11">
        <v>4563.6000000000004</v>
      </c>
      <c r="C79" s="8">
        <f>ROUND(0.291024,3)</f>
        <v>0.29099999999999998</v>
      </c>
    </row>
    <row r="80" spans="1:6" s="2" customFormat="1" ht="15.75" customHeight="1" thickBot="1" x14ac:dyDescent="0.3">
      <c r="A80" s="15" t="s">
        <v>116</v>
      </c>
      <c r="B80" s="16">
        <v>6565.2999999999993</v>
      </c>
      <c r="C80" s="17">
        <f>ROUND(0.4386,3)</f>
        <v>0.439</v>
      </c>
    </row>
    <row r="81" spans="1:3" s="2" customFormat="1" ht="15.75" customHeight="1" thickBot="1" x14ac:dyDescent="0.3">
      <c r="A81" s="7" t="s">
        <v>102</v>
      </c>
      <c r="B81" s="6">
        <f>SUM(B76:B80)</f>
        <v>23452.100000000002</v>
      </c>
      <c r="C81" s="40">
        <f>SUM(C76:C80)</f>
        <v>1.343</v>
      </c>
    </row>
    <row r="82" spans="1:3" s="2" customFormat="1" ht="15.75" customHeight="1" x14ac:dyDescent="0.25">
      <c r="A82" s="14" t="s">
        <v>117</v>
      </c>
      <c r="B82" s="12">
        <v>12054</v>
      </c>
      <c r="C82" s="9">
        <f>ROUND(1.140345,3)</f>
        <v>1.1399999999999999</v>
      </c>
    </row>
    <row r="83" spans="1:3" s="2" customFormat="1" ht="15.75" customHeight="1" x14ac:dyDescent="0.25">
      <c r="A83" s="10" t="s">
        <v>118</v>
      </c>
      <c r="B83" s="11">
        <v>6541.9</v>
      </c>
      <c r="C83" s="8">
        <f>ROUND(0.53197,3)</f>
        <v>0.53200000000000003</v>
      </c>
    </row>
    <row r="84" spans="1:3" s="2" customFormat="1" ht="15.75" customHeight="1" x14ac:dyDescent="0.25">
      <c r="A84" s="10" t="s">
        <v>119</v>
      </c>
      <c r="B84" s="11">
        <v>2427.1</v>
      </c>
      <c r="C84" s="8">
        <f>ROUND(0.20362,3)</f>
        <v>0.20399999999999999</v>
      </c>
    </row>
    <row r="85" spans="1:3" s="2" customFormat="1" ht="15.75" customHeight="1" x14ac:dyDescent="0.25">
      <c r="A85" s="10" t="s">
        <v>120</v>
      </c>
      <c r="B85" s="11">
        <v>4851.6000000000004</v>
      </c>
      <c r="C85" s="8">
        <f>ROUND(0.40724,3)</f>
        <v>0.40699999999999997</v>
      </c>
    </row>
    <row r="86" spans="1:3" s="2" customFormat="1" ht="15.75" customHeight="1" x14ac:dyDescent="0.25">
      <c r="A86" s="10" t="s">
        <v>121</v>
      </c>
      <c r="B86" s="11">
        <v>2434.9</v>
      </c>
      <c r="C86" s="8">
        <f>ROUND(0.20362,3)</f>
        <v>0.20399999999999999</v>
      </c>
    </row>
    <row r="87" spans="1:3" s="2" customFormat="1" ht="15.75" customHeight="1" x14ac:dyDescent="0.25">
      <c r="A87" s="10" t="s">
        <v>122</v>
      </c>
      <c r="B87" s="11">
        <v>2236.6</v>
      </c>
      <c r="C87" s="8">
        <f>ROUND(0.184418,3)</f>
        <v>0.184</v>
      </c>
    </row>
    <row r="88" spans="1:3" s="2" customFormat="1" ht="15.75" customHeight="1" x14ac:dyDescent="0.25">
      <c r="A88" s="10" t="s">
        <v>123</v>
      </c>
      <c r="B88" s="11">
        <v>4466.5</v>
      </c>
      <c r="C88" s="8">
        <f>ROUND(0.38145,3)</f>
        <v>0.38100000000000001</v>
      </c>
    </row>
    <row r="89" spans="1:3" s="2" customFormat="1" ht="15.75" customHeight="1" x14ac:dyDescent="0.25">
      <c r="A89" s="10" t="s">
        <v>124</v>
      </c>
      <c r="B89" s="11">
        <v>12390.3</v>
      </c>
      <c r="C89" s="8">
        <f>ROUND(1.024091,3)</f>
        <v>1.024</v>
      </c>
    </row>
    <row r="90" spans="1:3" s="2" customFormat="1" ht="15.75" customHeight="1" x14ac:dyDescent="0.25">
      <c r="A90" s="10" t="s">
        <v>125</v>
      </c>
      <c r="B90" s="11">
        <v>5124</v>
      </c>
      <c r="C90" s="8">
        <f>ROUND(0.41079,3)</f>
        <v>0.41099999999999998</v>
      </c>
    </row>
    <row r="91" spans="1:3" s="2" customFormat="1" ht="15.75" customHeight="1" x14ac:dyDescent="0.25">
      <c r="A91" s="10" t="s">
        <v>126</v>
      </c>
      <c r="B91" s="11">
        <v>5308.2</v>
      </c>
      <c r="C91" s="8">
        <f>ROUND(0.472451,3)</f>
        <v>0.47199999999999998</v>
      </c>
    </row>
    <row r="92" spans="1:3" s="2" customFormat="1" ht="15.75" customHeight="1" x14ac:dyDescent="0.25">
      <c r="A92" s="10" t="s">
        <v>127</v>
      </c>
      <c r="B92" s="11">
        <v>3389</v>
      </c>
      <c r="C92" s="8">
        <f>ROUND(0.27386,3)</f>
        <v>0.27400000000000002</v>
      </c>
    </row>
    <row r="93" spans="1:3" s="2" customFormat="1" ht="15.75" customHeight="1" thickBot="1" x14ac:dyDescent="0.3">
      <c r="A93" s="22" t="s">
        <v>128</v>
      </c>
      <c r="B93" s="23">
        <v>2188.5</v>
      </c>
      <c r="C93" s="24">
        <f>ROUND(0.198,3)</f>
        <v>0.19800000000000001</v>
      </c>
    </row>
    <row r="94" spans="1:3" s="2" customFormat="1" ht="15.75" customHeight="1" thickBot="1" x14ac:dyDescent="0.3">
      <c r="A94" s="25" t="s">
        <v>103</v>
      </c>
      <c r="B94" s="26">
        <f>SUM(B82:B93)</f>
        <v>63412.599999999991</v>
      </c>
      <c r="C94" s="28">
        <f>SUM(C82:C93)</f>
        <v>5.431</v>
      </c>
    </row>
    <row r="95" spans="1:3" s="2" customFormat="1" ht="15.75" customHeight="1" x14ac:dyDescent="0.25">
      <c r="A95" s="14" t="s">
        <v>30</v>
      </c>
      <c r="B95" s="12">
        <v>4195.8999999999996</v>
      </c>
      <c r="C95" s="9">
        <f>ROUND(0.25354,3)</f>
        <v>0.254</v>
      </c>
    </row>
    <row r="96" spans="1:3" s="2" customFormat="1" ht="15.75" customHeight="1" x14ac:dyDescent="0.25">
      <c r="A96" s="10" t="s">
        <v>31</v>
      </c>
      <c r="B96" s="11">
        <v>4200.3999999999996</v>
      </c>
      <c r="C96" s="8">
        <f>ROUND(0.25354,3)</f>
        <v>0.254</v>
      </c>
    </row>
    <row r="97" spans="1:3" s="2" customFormat="1" ht="15.75" customHeight="1" x14ac:dyDescent="0.25">
      <c r="A97" s="10" t="s">
        <v>32</v>
      </c>
      <c r="B97" s="11">
        <v>4204.3</v>
      </c>
      <c r="C97" s="8">
        <f>ROUND(0.25354,3)</f>
        <v>0.254</v>
      </c>
    </row>
    <row r="98" spans="1:3" s="2" customFormat="1" ht="15.75" customHeight="1" x14ac:dyDescent="0.25">
      <c r="A98" s="10" t="s">
        <v>33</v>
      </c>
      <c r="B98" s="11">
        <v>3774.8</v>
      </c>
      <c r="C98" s="8">
        <f>ROUND(0.28,3)</f>
        <v>0.28000000000000003</v>
      </c>
    </row>
    <row r="99" spans="1:3" s="2" customFormat="1" ht="15.75" customHeight="1" x14ac:dyDescent="0.25">
      <c r="A99" s="10" t="s">
        <v>34</v>
      </c>
      <c r="B99" s="11">
        <v>3834.6</v>
      </c>
      <c r="C99" s="8">
        <f>ROUND(0.2691,3)</f>
        <v>0.26900000000000002</v>
      </c>
    </row>
    <row r="100" spans="1:3" s="2" customFormat="1" ht="15.75" customHeight="1" x14ac:dyDescent="0.25">
      <c r="A100" s="10" t="s">
        <v>35</v>
      </c>
      <c r="B100" s="11">
        <v>5657.6</v>
      </c>
      <c r="C100" s="8">
        <f>ROUND(0.37331,3)</f>
        <v>0.373</v>
      </c>
    </row>
    <row r="101" spans="1:3" s="2" customFormat="1" ht="15.75" customHeight="1" x14ac:dyDescent="0.25">
      <c r="A101" s="10" t="s">
        <v>36</v>
      </c>
      <c r="B101" s="11">
        <v>3781.6</v>
      </c>
      <c r="C101" s="8">
        <f>ROUND(0.28,3)</f>
        <v>0.28000000000000003</v>
      </c>
    </row>
    <row r="102" spans="1:3" s="2" customFormat="1" ht="15.75" customHeight="1" x14ac:dyDescent="0.25">
      <c r="A102" s="10" t="s">
        <v>37</v>
      </c>
      <c r="B102" s="11">
        <v>2161.6999999999998</v>
      </c>
      <c r="C102" s="8">
        <f>ROUND(0.2116,3)</f>
        <v>0.21199999999999999</v>
      </c>
    </row>
    <row r="103" spans="1:3" s="2" customFormat="1" ht="15.75" customHeight="1" x14ac:dyDescent="0.25">
      <c r="A103" s="10" t="s">
        <v>38</v>
      </c>
      <c r="B103" s="11">
        <v>2149.9</v>
      </c>
      <c r="C103" s="8">
        <f>ROUND(0.21373,3)</f>
        <v>0.214</v>
      </c>
    </row>
    <row r="104" spans="1:3" s="2" customFormat="1" ht="15.75" customHeight="1" x14ac:dyDescent="0.25">
      <c r="A104" s="10" t="s">
        <v>39</v>
      </c>
      <c r="B104" s="11">
        <v>1109.3</v>
      </c>
      <c r="C104" s="8">
        <f>ROUND(0.09858,3)</f>
        <v>9.9000000000000005E-2</v>
      </c>
    </row>
    <row r="105" spans="1:3" s="2" customFormat="1" ht="15.75" customHeight="1" thickBot="1" x14ac:dyDescent="0.3">
      <c r="A105" s="22" t="s">
        <v>40</v>
      </c>
      <c r="B105" s="23">
        <v>8272</v>
      </c>
      <c r="C105" s="24">
        <f>ROUND(0.54195,3)</f>
        <v>0.54200000000000004</v>
      </c>
    </row>
    <row r="106" spans="1:3" s="2" customFormat="1" ht="15.75" customHeight="1" thickBot="1" x14ac:dyDescent="0.3">
      <c r="A106" s="25" t="s">
        <v>62</v>
      </c>
      <c r="B106" s="26">
        <f>SUM(B95:B105)</f>
        <v>43342.1</v>
      </c>
      <c r="C106" s="28">
        <f>SUM(C95:C105)</f>
        <v>3.0310000000000006</v>
      </c>
    </row>
    <row r="107" spans="1:3" s="2" customFormat="1" ht="15.75" customHeight="1" x14ac:dyDescent="0.25">
      <c r="A107" s="14" t="s">
        <v>129</v>
      </c>
      <c r="B107" s="12">
        <v>2028.4</v>
      </c>
      <c r="C107" s="9">
        <f>ROUND(0.21167,3)</f>
        <v>0.21199999999999999</v>
      </c>
    </row>
    <row r="108" spans="1:3" s="2" customFormat="1" ht="15.75" customHeight="1" x14ac:dyDescent="0.25">
      <c r="A108" s="10" t="s">
        <v>130</v>
      </c>
      <c r="B108" s="11">
        <v>2008.5</v>
      </c>
      <c r="C108" s="8">
        <f>ROUND(0.21167,3)</f>
        <v>0.21199999999999999</v>
      </c>
    </row>
    <row r="109" spans="1:3" s="2" customFormat="1" ht="15.75" customHeight="1" x14ac:dyDescent="0.25">
      <c r="A109" s="10" t="s">
        <v>131</v>
      </c>
      <c r="B109" s="11">
        <v>2082.6999999999998</v>
      </c>
      <c r="C109" s="8">
        <f>ROUND(0.19246,3)</f>
        <v>0.192</v>
      </c>
    </row>
    <row r="110" spans="1:3" s="2" customFormat="1" ht="15.75" customHeight="1" thickBot="1" x14ac:dyDescent="0.3">
      <c r="A110" s="22" t="s">
        <v>132</v>
      </c>
      <c r="B110" s="23">
        <v>2017.2</v>
      </c>
      <c r="C110" s="24">
        <f>ROUND(0.19246,3)</f>
        <v>0.192</v>
      </c>
    </row>
    <row r="111" spans="1:3" s="2" customFormat="1" ht="15.75" customHeight="1" thickBot="1" x14ac:dyDescent="0.3">
      <c r="A111" s="25" t="s">
        <v>104</v>
      </c>
      <c r="B111" s="26">
        <f>SUM(B107:B110)</f>
        <v>8136.8</v>
      </c>
      <c r="C111" s="28">
        <f>SUM(C107:C110)</f>
        <v>0.80800000000000005</v>
      </c>
    </row>
    <row r="112" spans="1:3" s="2" customFormat="1" ht="15.75" customHeight="1" x14ac:dyDescent="0.25">
      <c r="A112" s="14" t="s">
        <v>41</v>
      </c>
      <c r="B112" s="12">
        <v>5105.6000000000004</v>
      </c>
      <c r="C112" s="9">
        <f>ROUND(0.43674,3)</f>
        <v>0.437</v>
      </c>
    </row>
    <row r="113" spans="1:3" s="2" customFormat="1" ht="15.75" customHeight="1" x14ac:dyDescent="0.25">
      <c r="A113" s="10" t="s">
        <v>42</v>
      </c>
      <c r="B113" s="11">
        <v>7740.5</v>
      </c>
      <c r="C113" s="8">
        <f>ROUND(0.67795,3)</f>
        <v>0.67800000000000005</v>
      </c>
    </row>
    <row r="114" spans="1:3" s="2" customFormat="1" ht="15.75" customHeight="1" x14ac:dyDescent="0.25">
      <c r="A114" s="10" t="s">
        <v>43</v>
      </c>
      <c r="B114" s="11">
        <v>6571.8</v>
      </c>
      <c r="C114" s="8">
        <f>ROUND(0.594,3)</f>
        <v>0.59399999999999997</v>
      </c>
    </row>
    <row r="115" spans="1:3" s="2" customFormat="1" ht="15.75" customHeight="1" x14ac:dyDescent="0.25">
      <c r="A115" s="10" t="s">
        <v>44</v>
      </c>
      <c r="B115" s="11">
        <v>7829.5</v>
      </c>
      <c r="C115" s="8">
        <f>ROUND(0.48466,3)</f>
        <v>0.48499999999999999</v>
      </c>
    </row>
    <row r="116" spans="1:3" s="2" customFormat="1" ht="15.75" customHeight="1" x14ac:dyDescent="0.25">
      <c r="A116" s="10" t="s">
        <v>45</v>
      </c>
      <c r="B116" s="11">
        <v>2727.9</v>
      </c>
      <c r="C116" s="8">
        <f>ROUND(0.18277,3)</f>
        <v>0.183</v>
      </c>
    </row>
    <row r="117" spans="1:3" s="2" customFormat="1" ht="15.75" customHeight="1" x14ac:dyDescent="0.25">
      <c r="A117" s="13" t="s">
        <v>99</v>
      </c>
      <c r="B117" s="11">
        <v>2751.8</v>
      </c>
      <c r="C117" s="8">
        <f>ROUND(0.18277,3)</f>
        <v>0.183</v>
      </c>
    </row>
    <row r="118" spans="1:3" s="2" customFormat="1" ht="15.75" customHeight="1" x14ac:dyDescent="0.25">
      <c r="A118" s="10" t="s">
        <v>46</v>
      </c>
      <c r="B118" s="11">
        <v>5988.2</v>
      </c>
      <c r="C118" s="8">
        <f>ROUND(0.55372,3)</f>
        <v>0.55400000000000005</v>
      </c>
    </row>
    <row r="119" spans="1:3" s="2" customFormat="1" ht="15.75" customHeight="1" x14ac:dyDescent="0.25">
      <c r="A119" s="10" t="s">
        <v>47</v>
      </c>
      <c r="B119" s="11">
        <v>2983.3</v>
      </c>
      <c r="C119" s="8">
        <f>ROUND(0.2567,3)</f>
        <v>0.25700000000000001</v>
      </c>
    </row>
    <row r="120" spans="1:3" s="2" customFormat="1" ht="15.75" customHeight="1" x14ac:dyDescent="0.25">
      <c r="A120" s="10" t="s">
        <v>48</v>
      </c>
      <c r="B120" s="11">
        <v>6399.4</v>
      </c>
      <c r="C120" s="8">
        <f>ROUND(0.548027,3)</f>
        <v>0.54800000000000004</v>
      </c>
    </row>
    <row r="121" spans="1:3" s="2" customFormat="1" ht="15.75" customHeight="1" x14ac:dyDescent="0.25">
      <c r="A121" s="10" t="s">
        <v>49</v>
      </c>
      <c r="B121" s="11">
        <v>5994.1</v>
      </c>
      <c r="C121" s="8">
        <f>ROUND(0.41738,3)</f>
        <v>0.41699999999999998</v>
      </c>
    </row>
    <row r="122" spans="1:3" s="2" customFormat="1" ht="15.75" customHeight="1" x14ac:dyDescent="0.25">
      <c r="A122" s="10" t="s">
        <v>50</v>
      </c>
      <c r="B122" s="11">
        <v>5961.7</v>
      </c>
      <c r="C122" s="8">
        <f>ROUND(0.41738,3)</f>
        <v>0.41699999999999998</v>
      </c>
    </row>
    <row r="123" spans="1:3" s="2" customFormat="1" ht="15.75" customHeight="1" x14ac:dyDescent="0.25">
      <c r="A123" s="10" t="s">
        <v>51</v>
      </c>
      <c r="B123" s="11">
        <v>5980.9</v>
      </c>
      <c r="C123" s="8">
        <f>ROUND(0.41738,3)</f>
        <v>0.41699999999999998</v>
      </c>
    </row>
    <row r="124" spans="1:3" s="2" customFormat="1" ht="15.75" customHeight="1" x14ac:dyDescent="0.25">
      <c r="A124" s="10" t="s">
        <v>52</v>
      </c>
      <c r="B124" s="11">
        <v>2014.5</v>
      </c>
      <c r="C124" s="8">
        <f>ROUND(0.15842,3)</f>
        <v>0.158</v>
      </c>
    </row>
    <row r="125" spans="1:3" s="2" customFormat="1" ht="15.75" customHeight="1" x14ac:dyDescent="0.25">
      <c r="A125" s="10" t="s">
        <v>53</v>
      </c>
      <c r="B125" s="11">
        <v>2008.4</v>
      </c>
      <c r="C125" s="8">
        <f>ROUND(0.19631,3)</f>
        <v>0.19600000000000001</v>
      </c>
    </row>
    <row r="126" spans="1:3" s="2" customFormat="1" ht="15.75" customHeight="1" thickBot="1" x14ac:dyDescent="0.3">
      <c r="A126" s="22" t="s">
        <v>54</v>
      </c>
      <c r="B126" s="23">
        <v>1786.5</v>
      </c>
      <c r="C126" s="24">
        <f>ROUND(0.11394,3)</f>
        <v>0.114</v>
      </c>
    </row>
    <row r="127" spans="1:3" s="2" customFormat="1" ht="15.75" customHeight="1" thickBot="1" x14ac:dyDescent="0.3">
      <c r="A127" s="25" t="s">
        <v>63</v>
      </c>
      <c r="B127" s="26">
        <f>SUM(B112:B126)</f>
        <v>71844.099999999991</v>
      </c>
      <c r="C127" s="28">
        <f>SUM(C112:C126)</f>
        <v>5.6379999999999999</v>
      </c>
    </row>
    <row r="128" spans="1:3" s="2" customFormat="1" ht="15.75" customHeight="1" x14ac:dyDescent="0.25">
      <c r="A128" s="14" t="s">
        <v>55</v>
      </c>
      <c r="B128" s="12">
        <v>5978.9</v>
      </c>
      <c r="C128" s="9">
        <f>ROUND(0.41251,3)</f>
        <v>0.41299999999999998</v>
      </c>
    </row>
    <row r="129" spans="1:3" s="2" customFormat="1" ht="15.75" customHeight="1" thickBot="1" x14ac:dyDescent="0.3">
      <c r="A129" s="22" t="s">
        <v>56</v>
      </c>
      <c r="B129" s="23">
        <v>6246.1</v>
      </c>
      <c r="C129" s="24">
        <f>ROUND(0.419,3)</f>
        <v>0.41899999999999998</v>
      </c>
    </row>
    <row r="130" spans="1:3" s="2" customFormat="1" ht="15.75" customHeight="1" thickBot="1" x14ac:dyDescent="0.3">
      <c r="A130" s="25" t="s">
        <v>64</v>
      </c>
      <c r="B130" s="26">
        <f>SUM(B128:B129)</f>
        <v>12225</v>
      </c>
      <c r="C130" s="30">
        <f>SUM(C128:C129)</f>
        <v>0.83199999999999996</v>
      </c>
    </row>
    <row r="131" spans="1:3" ht="15.75" customHeight="1" thickBot="1" x14ac:dyDescent="0.3">
      <c r="A131" s="14" t="s">
        <v>77</v>
      </c>
      <c r="B131" s="31">
        <v>693.9</v>
      </c>
      <c r="C131" s="32">
        <f>ROUND(0.049,3)</f>
        <v>4.9000000000000002E-2</v>
      </c>
    </row>
    <row r="132" spans="1:3" ht="15.75" customHeight="1" thickBot="1" x14ac:dyDescent="0.3">
      <c r="A132" s="22" t="s">
        <v>78</v>
      </c>
      <c r="B132" s="33">
        <v>723.57</v>
      </c>
      <c r="C132" s="34">
        <f>ROUND(0.048,3)</f>
        <v>4.8000000000000001E-2</v>
      </c>
    </row>
    <row r="133" spans="1:3" ht="15.75" customHeight="1" thickBot="1" x14ac:dyDescent="0.3">
      <c r="A133" s="7" t="s">
        <v>79</v>
      </c>
      <c r="B133" s="35">
        <f>SUM(B131:B132)</f>
        <v>1417.47</v>
      </c>
      <c r="C133" s="36">
        <f>SUM(C131:C132)</f>
        <v>9.7000000000000003E-2</v>
      </c>
    </row>
    <row r="134" spans="1:3" s="3" customFormat="1" ht="19.5" thickBot="1" x14ac:dyDescent="0.35">
      <c r="A134" s="20" t="s">
        <v>57</v>
      </c>
      <c r="B134" s="21">
        <f>SUM(B7:B15,B17:B24,B26:B33,B35:B45,B47:B50,B52:B60,B62:B66,B68:B74,B76:B80,B82:B93,B95:B105,B107:B110,B112:B126,B128:B129,B131:B132)</f>
        <v>434701.37000000005</v>
      </c>
      <c r="C134" s="21">
        <f>SUM(C7:C15,C17:C24,C26:C33,C35:C45,C47:C50,C52:C60,C62:C66,C68:C74,C76:C80,C82:C93,C95:C105,C107:C110,C112:C126,C128:C129,C131:C132)</f>
        <v>32.42300000000003</v>
      </c>
    </row>
    <row r="135" spans="1:3" x14ac:dyDescent="0.25">
      <c r="A135" s="2"/>
      <c r="B135" s="2"/>
      <c r="C135" s="2"/>
    </row>
    <row r="137" spans="1:3" x14ac:dyDescent="0.25">
      <c r="A137" s="41" t="s">
        <v>133</v>
      </c>
    </row>
  </sheetData>
  <mergeCells count="4">
    <mergeCell ref="A2:C2"/>
    <mergeCell ref="A3:C3"/>
    <mergeCell ref="A4:A5"/>
    <mergeCell ref="B4:B5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8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багатоповерхівки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2021-12-01T09:38:29Z</cp:lastPrinted>
  <dcterms:created xsi:type="dcterms:W3CDTF">2012-12-13T12:37:45Z</dcterms:created>
  <dcterms:modified xsi:type="dcterms:W3CDTF">2023-05-03T11:17:19Z</dcterms:modified>
</cp:coreProperties>
</file>